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biorówka" sheetId="1" state="visible" r:id="rId2"/>
    <sheet name="Rob. inwest. WODA" sheetId="2" state="visible" r:id="rId3"/>
    <sheet name="Rob. inwest. KANAŁ" sheetId="3" state="visible" r:id="rId4"/>
    <sheet name="Rob. inwest. OCZYSZCZ." sheetId="4" state="visible" r:id="rId5"/>
    <sheet name="1 Rob. inwest. REZERWA" sheetId="5" state="visible" r:id="rId6"/>
  </sheets>
  <definedNames>
    <definedName function="false" hidden="false" localSheetId="4" name="_xlnm.Print_Area" vbProcedure="false">'1 Rob. inwest. REZERWA'!$A$1:$K$6</definedName>
    <definedName function="false" hidden="false" localSheetId="4" name="_xlnm.Print_Titles" vbProcedure="false">'1 Rob. inwest. REZERWA'!$1:$5</definedName>
    <definedName function="false" hidden="false" localSheetId="2" name="_xlnm.Print_Area" vbProcedure="false">'Rob. inwest. KANAŁ'!$A$1:$Q$18</definedName>
    <definedName function="false" hidden="false" localSheetId="2" name="_xlnm.Print_Titles" vbProcedure="false">'Rob. inwest. KANAŁ'!$1:$5</definedName>
    <definedName function="false" hidden="false" localSheetId="3" name="_xlnm.Print_Area" vbProcedure="false">'Rob. inwest. OCZYSZCZ.'!$A$1:$F$11</definedName>
    <definedName function="false" hidden="false" localSheetId="1" name="_xlnm.Print_Area" vbProcedure="false">'Rob. inwest. WODA'!$A$1:$Q$12</definedName>
    <definedName function="false" hidden="false" localSheetId="1" name="_xlnm.Print_Titles" vbProcedure="false">'Rob. inwest. WODA'!$1:$5</definedName>
    <definedName function="false" hidden="false" localSheetId="1" name="_xlnm.Print_Area" vbProcedure="false">'Rob. inwest. WODA'!$A$1:$Q$12</definedName>
    <definedName function="false" hidden="false" localSheetId="1" name="_xlnm.Print_Titles" vbProcedure="false">'Rob. inwest. WODA'!$1:$5</definedName>
    <definedName function="false" hidden="false" localSheetId="2" name="_xlnm.Print_Area" vbProcedure="false">'Rob. inwest. KANAŁ'!$A$1:$Q$18</definedName>
    <definedName function="false" hidden="false" localSheetId="2" name="_xlnm.Print_Titles" vbProcedure="false">'Rob. inwest. KANAŁ'!$1:$5</definedName>
    <definedName function="false" hidden="false" localSheetId="3" name="_xlnm.Print_Area" vbProcedure="false">'Rob. inwest. OCZYSZCZ.'!$A$1:$F$11</definedName>
    <definedName function="false" hidden="false" localSheetId="4" name="_xlnm.Print_Area" vbProcedure="false">'1 Rob. inwest. REZERWA'!$A$1:$K$6</definedName>
    <definedName function="false" hidden="false" localSheetId="4" name="_xlnm.Print_Titles" vbProcedure="false">'1 Rob. inwest. REZERWA'!$1:$5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<sst xmlns="http://schemas.openxmlformats.org/spreadsheetml/2006/main" count="212" uniqueCount="129">
  <si>
    <t xml:space="preserve">Sosnowieckie Wodociągi S.A.</t>
  </si>
  <si>
    <t xml:space="preserve">Realizacja inwestycji</t>
  </si>
  <si>
    <t xml:space="preserve">Nazwa</t>
  </si>
  <si>
    <t xml:space="preserve">realizacja I-X.2024</t>
  </si>
  <si>
    <t xml:space="preserve">mb</t>
  </si>
  <si>
    <t xml:space="preserve"> tys zł</t>
  </si>
  <si>
    <t xml:space="preserve">Inwestycje sieć wodociągowa</t>
  </si>
  <si>
    <t xml:space="preserve">Inwestycje sieć kanalizacyjna</t>
  </si>
  <si>
    <t xml:space="preserve">Inwestycje Oczyszczalnie</t>
  </si>
  <si>
    <t xml:space="preserve">Przejęcie sieci wodociągowej i  kanalizacyjnej od inwestorów</t>
  </si>
  <si>
    <t xml:space="preserve">SUMA:</t>
  </si>
  <si>
    <t xml:space="preserve">I. A. ROBOTY INWESTYCYJNE DZIAŁ SIECI WODOCIĄGOWEJ  2024r.</t>
  </si>
  <si>
    <t xml:space="preserve">Lp.</t>
  </si>
  <si>
    <t xml:space="preserve">Nazwa zadania</t>
  </si>
  <si>
    <t xml:space="preserve">System (własny/
zlecony)</t>
  </si>
  <si>
    <t xml:space="preserve">Dokumentacja 
Nr umowy</t>
  </si>
  <si>
    <t xml:space="preserve">Wykonawstwo
 Nr umowy</t>
  </si>
  <si>
    <t xml:space="preserve">Średnica</t>
  </si>
  <si>
    <t xml:space="preserve">Plan rzeczowy (w mb)</t>
  </si>
  <si>
    <t xml:space="preserve">Plan finansowy (w tys. zł)</t>
  </si>
  <si>
    <t xml:space="preserve">WYKONANIE X. 2024</t>
  </si>
  <si>
    <t xml:space="preserve">Uwagi
</t>
  </si>
  <si>
    <t xml:space="preserve">zakres rzeczowy</t>
  </si>
  <si>
    <t xml:space="preserve">zakres finansowy</t>
  </si>
  <si>
    <t xml:space="preserve">narastająco mb do 31.12.2023</t>
  </si>
  <si>
    <t xml:space="preserve">2024</t>
  </si>
  <si>
    <t xml:space="preserve">2025</t>
  </si>
  <si>
    <t xml:space="preserve">nakłady do 31.12.2023</t>
  </si>
  <si>
    <t xml:space="preserve">%</t>
  </si>
  <si>
    <t xml:space="preserve">tys.zł</t>
  </si>
  <si>
    <t xml:space="preserve">1.</t>
  </si>
  <si>
    <t xml:space="preserve">Przebudowa sieci wodociągowej w ul. Orląt Lwowskich  (od ujęcia GPW "Mostowa" do ul. Orląt Lwowskich kościół) + (od ujęcia GPW "Mostowa" do Designer Outlet) w Sosnowcu</t>
  </si>
  <si>
    <t xml:space="preserve">własny TR</t>
  </si>
  <si>
    <t xml:space="preserve">115/DTT/2022</t>
  </si>
  <si>
    <t xml:space="preserve">90-315</t>
  </si>
  <si>
    <t xml:space="preserve">w trakcie realizacji siłami własnymi</t>
  </si>
  <si>
    <t xml:space="preserve">2.</t>
  </si>
  <si>
    <t xml:space="preserve">Przebudowa sieci wodociągowej we fragmencie ulicy Obrońców Poczty Gdańskiej w Sosnowcu</t>
  </si>
  <si>
    <t xml:space="preserve">zlecony</t>
  </si>
  <si>
    <t xml:space="preserve">201/DTT/2022</t>
  </si>
  <si>
    <t xml:space="preserve">4/DTT/2024</t>
  </si>
  <si>
    <t xml:space="preserve">40-110</t>
  </si>
  <si>
    <t xml:space="preserve">Inwestycja rozliczona</t>
  </si>
  <si>
    <t xml:space="preserve">3.</t>
  </si>
  <si>
    <t xml:space="preserve">Przebudowa i budowa sieci wodociągowej w ul. Wolności /Lenartowicza (od ujęcia GPW "Wolności" do hydroforu przy ul. Lenartowicza) oraz budowa kontenerowej stacji hydroforowej w Sosnowcu</t>
  </si>
  <si>
    <t xml:space="preserve">355/DTT/2021</t>
  </si>
  <si>
    <t xml:space="preserve">146/DTT/2023</t>
  </si>
  <si>
    <t xml:space="preserve">4.</t>
  </si>
  <si>
    <t xml:space="preserve">Budowa sieci wodociągowej w ul. Gabrieli Zapolskiej w Sosnowcu</t>
  </si>
  <si>
    <t xml:space="preserve">169/DTT/2021</t>
  </si>
  <si>
    <t xml:space="preserve">101/DTT/2023</t>
  </si>
  <si>
    <t xml:space="preserve">40-160</t>
  </si>
  <si>
    <t xml:space="preserve">5.</t>
  </si>
  <si>
    <t xml:space="preserve">Przebudowa sieci wodociągowej od ujęcia GPW "Polmo" do budynku przy ulicy Zielonogórska 1A w Sosnowcu</t>
  </si>
  <si>
    <t xml:space="preserve">84/DTT/2022</t>
  </si>
  <si>
    <t xml:space="preserve">93/DTT/2023</t>
  </si>
  <si>
    <t xml:space="preserve">40-315</t>
  </si>
  <si>
    <t xml:space="preserve">6.</t>
  </si>
  <si>
    <t xml:space="preserve">Budowa sieci wodociągowej w ul. Schonów w Sosnowcu</t>
  </si>
  <si>
    <t xml:space="preserve">278/DTT/2022</t>
  </si>
  <si>
    <t xml:space="preserve">206/DTT/2023</t>
  </si>
  <si>
    <t xml:space="preserve">zadanie w trakcie odbioru końcowego; zgłoszono do PINB</t>
  </si>
  <si>
    <t xml:space="preserve">RAZEM </t>
  </si>
  <si>
    <t xml:space="preserve">I. B. ROBOTY INWESTYCYJNE NA SIECI KANALIZACYJNEJ  2024r.</t>
  </si>
  <si>
    <t xml:space="preserve">System
(własny/zlecony)</t>
  </si>
  <si>
    <t xml:space="preserve">Dokumentacja</t>
  </si>
  <si>
    <t xml:space="preserve">Wykonawstwo</t>
  </si>
  <si>
    <t xml:space="preserve"> Nr umowy</t>
  </si>
  <si>
    <t xml:space="preserve">Nr umowy</t>
  </si>
  <si>
    <t xml:space="preserve">Budowa sieci kanalizacji sanitarnej w ul. Schonów w Sosnowcu</t>
  </si>
  <si>
    <t xml:space="preserve">160-250</t>
  </si>
  <si>
    <t xml:space="preserve">Budowa sieci kanalizacji sanitarnej w ulicy Makuszyńskiego 4a, 4c, 5c, 5e, 5f, 5g, 5h, 5i, 13a, 13b, 13c, 13d, 15a, 15b, 15c, 19c, 21, 21a, 21b w Sosnowcu</t>
  </si>
  <si>
    <t xml:space="preserve">273/DTT/2022</t>
  </si>
  <si>
    <t xml:space="preserve">191/DTT/2023</t>
  </si>
  <si>
    <t xml:space="preserve">Przebudowa sieci kanalizacji sanitarnej w ulicy Studziennej 12-18 w Sosnowcu</t>
  </si>
  <si>
    <t xml:space="preserve">260/DTT/2022</t>
  </si>
  <si>
    <t xml:space="preserve">253/DTT/2023</t>
  </si>
  <si>
    <t xml:space="preserve">200-300</t>
  </si>
  <si>
    <r>
      <rPr>
        <sz val="12"/>
        <rFont val="Calibri"/>
        <family val="2"/>
        <charset val="1"/>
      </rPr>
      <t xml:space="preserve">Budowa sieci kanalizacji sanitarnej wraz z tłocznią ścieków w dzielnicy Ostrowy Górnicze w Sosnowcu (w ulicach: Starzyńskiego, Klubowej,</t>
    </r>
    <r>
      <rPr>
        <sz val="12"/>
        <color rgb="FFFF0000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 xml:space="preserve">Gałczyńskiego, Poniatowskiego, Orzeszkowej, Limbowej, Maczkowskiej i Niecałej) </t>
    </r>
    <r>
      <rPr>
        <b val="true"/>
        <sz val="12"/>
        <rFont val="Calibri"/>
        <family val="2"/>
        <charset val="1"/>
      </rPr>
      <t xml:space="preserve">Etap I - ul. Maczkowska + tłocznia</t>
    </r>
  </si>
  <si>
    <t xml:space="preserve">54/TT/2019</t>
  </si>
  <si>
    <t xml:space="preserve">264/TT/2023</t>
  </si>
  <si>
    <t xml:space="preserve">110-315</t>
  </si>
  <si>
    <t xml:space="preserve">zadanie wspólnie z Gminą, w trakcie realizacji</t>
  </si>
  <si>
    <t xml:space="preserve">Przebudowa sieci kanalizacyjnej w ul. Bohaterów Monte Cassino (w rejonie budynków 24B-50)</t>
  </si>
  <si>
    <t xml:space="preserve">65/DTT/2023</t>
  </si>
  <si>
    <t xml:space="preserve">127/DTT/2024</t>
  </si>
  <si>
    <t xml:space="preserve">160-200</t>
  </si>
  <si>
    <t xml:space="preserve">zadanie w trakcie realizacji
</t>
  </si>
  <si>
    <t xml:space="preserve">Budowa sieci kanalizacji sanitarnej w ul. Konopnickiej w Sosnowcu</t>
  </si>
  <si>
    <t xml:space="preserve">254/DTT/2022</t>
  </si>
  <si>
    <t xml:space="preserve">53/DTT/2024</t>
  </si>
  <si>
    <t xml:space="preserve">roboty technologiczne skończone; konieczność zmiany terminu z uwagi na potrzebę wykonania odwodnienia drogi przez Gminę</t>
  </si>
  <si>
    <t xml:space="preserve">7.</t>
  </si>
  <si>
    <t xml:space="preserve">Renowacja sieci kanalizacji ogólnospławnej metodą bezwykopową w ul.Podjazdowej w Sosnowcu</t>
  </si>
  <si>
    <t xml:space="preserve">187/DTT/2024</t>
  </si>
  <si>
    <t xml:space="preserve">zadania w trakcie realizacji </t>
  </si>
  <si>
    <t xml:space="preserve">8.</t>
  </si>
  <si>
    <t xml:space="preserve">Renowacja sieci kanalizacji ogólnospławnej metodą bezwykopową w ul.Pogotowia w Sosnowcu</t>
  </si>
  <si>
    <t xml:space="preserve">300/400</t>
  </si>
  <si>
    <t xml:space="preserve">9.</t>
  </si>
  <si>
    <t xml:space="preserve">Renowacja sieci kanalizacji ogólnospławnej metodą bezwykopową w ul. Siennej w Sosnowcu</t>
  </si>
  <si>
    <t xml:space="preserve">10.</t>
  </si>
  <si>
    <t xml:space="preserve">Renowacja sieci kanalizacji ogólnospławnej metodą bezwykopową w ul.Rzeźniczej w Sosnowcu</t>
  </si>
  <si>
    <t xml:space="preserve">800/1200</t>
  </si>
  <si>
    <t xml:space="preserve">11.</t>
  </si>
  <si>
    <t xml:space="preserve">Renowacja sieci kanalizacji ogólnospławnej metodą bezwykopową w ul. 3-go Maja w Sosnowcu</t>
  </si>
  <si>
    <t xml:space="preserve">12.</t>
  </si>
  <si>
    <t xml:space="preserve">Opomiarowanie poziomu ścieków w sieci kanalizacji ogólnospławnej we wskazanych punktach </t>
  </si>
  <si>
    <t xml:space="preserve">RAZEM</t>
  </si>
  <si>
    <t xml:space="preserve">I. C.</t>
  </si>
  <si>
    <t xml:space="preserve">ROBOTY INWESTYCYJNE DZIAŁ OCZYSZCZALNI ŚCIEKÓW 2024r.</t>
  </si>
  <si>
    <t xml:space="preserve">Plan system zlecony w tys. zł</t>
  </si>
  <si>
    <t xml:space="preserve">system zlecony</t>
  </si>
  <si>
    <t xml:space="preserve">RAZEM OCZYSZCZALNIE, W TYM:</t>
  </si>
  <si>
    <t xml:space="preserve">I</t>
  </si>
  <si>
    <t xml:space="preserve">OCZYSZCZALNIA RADOCHA II</t>
  </si>
  <si>
    <t xml:space="preserve">Przebudowa oczyszczalni ścieków Radocha II - etap V (wraz z kosztami nadzorów inwestorskich i autorskich)</t>
  </si>
  <si>
    <t xml:space="preserve">Zabudowa nowego zbiornika biogazu wraz z rozbiórką istniejącego zbiornika (wraz z kosztami nadzorów inwestorskich i autorskich)</t>
  </si>
  <si>
    <t xml:space="preserve">rozpoczęto odbiór zadania</t>
  </si>
  <si>
    <t xml:space="preserve">Dostawa i montaż zasuw (DN 800  4 szt. i DN 500 4 szt.) wraz z napędami AUMA w komorach zasuw nr 25.4 i 25.5 przy reaktorach biologicznych od 7.1 do 7.4 Oczyszczalni ścieków RADOCHA II</t>
  </si>
  <si>
    <t xml:space="preserve">zadanie rozliczone
</t>
  </si>
  <si>
    <t xml:space="preserve">Dostawa i montaż kół podporowych do zgrzebeł zgarniających osad  na osadnikach wtórnych od 8.5 do 8.8 oczyszczalni ścieków RADOCHA II.</t>
  </si>
  <si>
    <t xml:space="preserve">Realizacja Zadania IV - Stacja odwadniania osadu obiekt nr 14 (część "Przebudowy oczyszczalni ściekow RADOCHA II w Sosnowcu - etap V")</t>
  </si>
  <si>
    <t xml:space="preserve">IV. ROBOTY INWESTYCYJNE  REZERWA 2024r.</t>
  </si>
  <si>
    <t xml:space="preserve">Uwagi</t>
  </si>
  <si>
    <t xml:space="preserve">A.</t>
  </si>
  <si>
    <t xml:space="preserve">Przejęcie sieci wodociągowej i kanalizacyjnej od inwestorów</t>
  </si>
  <si>
    <t xml:space="preserve">aktualizacja wartości</t>
  </si>
  <si>
    <t xml:space="preserve">Klimontowska, Blachnickiego, Długa; wycena sieci ul. Wodociągi; Kukułek; Kol. Cieśle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</si>
</sst>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zł&quot;_-;\-* #,##0.00&quot; zł&quot;_-;_-* \-??&quot; zł&quot;_-;_-@_-"/>
    <numFmt numFmtId="166" formatCode="YYYY\-MM\-DD"/>
    <numFmt numFmtId="167" formatCode="#,##0.00"/>
    <numFmt numFmtId="168" formatCode="@"/>
    <numFmt numFmtId="169" formatCode="0%"/>
    <numFmt numFmtId="170" formatCode="0.00%"/>
    <numFmt numFmtId="171" formatCode="0.00"/>
    <numFmt numFmtId="172" formatCode="_-* #,##0.00\ _z_ł_-;\-* #,##0.00\ _z_ł_-;_-* \-??\ _z_ł_-;_-@_-"/>
    <numFmt numFmtId="173" formatCode="#,##0.0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sz val="14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238"/>
    </font>
    <font>
      <sz val="10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 val="true"/>
      <sz val="11"/>
      <name val="Calibri"/>
      <family val="2"/>
      <charset val="1"/>
    </font>
    <font>
      <i val="true"/>
      <sz val="11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sz val="14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9"/>
      <name val="Calibri"/>
      <family val="2"/>
      <charset val="1"/>
    </font>
    <font>
      <b val="true"/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1"/>
    </font>
    <font>
      <sz val="11"/>
      <color rgb="FF00B05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9CDE5"/>
        <bgColor rgb="FF99CCFF"/>
      </patternFill>
    </fill>
    <fill>
      <patternFill patternType="solid">
        <fgColor rgb="FFC3D69B"/>
        <bgColor rgb="FFD9D9D9"/>
      </patternFill>
    </fill>
    <fill>
      <patternFill patternType="solid">
        <fgColor rgb="FFD9D9D9"/>
        <bgColor rgb="FFB9CDE5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7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0" fillId="4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2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1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2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2" fillId="5" borderId="1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2" fillId="4" borderId="1" xfId="19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1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2" xfId="20" builtinId="53" customBuiltin="true"/>
    <cellStyle name="Normalny 3" xfId="21" builtinId="53" customBuiltin="true"/>
    <cellStyle name="Normalny 3 2" xfId="22" builtinId="53" customBuiltin="true"/>
    <cellStyle name="Normalny 3 2 2" xfId="23" builtinId="53" customBuiltin="true"/>
    <cellStyle name="Normalny 3 3" xfId="24" builtinId="53" customBuiltin="true"/>
    <cellStyle name="Normalny 4" xfId="25" builtinId="53" customBuiltin="true"/>
    <cellStyle name="Normalny 5" xfId="26" builtinId="53" customBuiltin="true"/>
    <cellStyle name="Walutowy 2" xfId="27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33.29"/>
    <col collapsed="false" customWidth="true" hidden="false" outlineLevel="0" max="2" min="2" style="0" width="14.57"/>
    <col collapsed="false" customWidth="true" hidden="false" outlineLevel="0" max="3" min="3" style="0" width="18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1" t="s">
        <v>0</v>
      </c>
      <c r="C1" s="2" t="n">
        <v>45596</v>
      </c>
    </row>
    <row r="2" customFormat="false" ht="15" hidden="false" customHeight="false" outlineLevel="0" collapsed="false">
      <c r="A2" s="0" t="s">
        <v>1</v>
      </c>
    </row>
    <row r="3" customFormat="false" ht="27.75" hidden="false" customHeight="true" outlineLevel="0" collapsed="false">
      <c r="A3" s="3" t="s">
        <v>2</v>
      </c>
      <c r="B3" s="4" t="s">
        <v>3</v>
      </c>
      <c r="C3" s="4"/>
    </row>
    <row r="4" customFormat="false" ht="24.75" hidden="false" customHeight="true" outlineLevel="0" collapsed="false">
      <c r="A4" s="3"/>
      <c r="B4" s="3" t="s">
        <v>4</v>
      </c>
      <c r="C4" s="3" t="s">
        <v>5</v>
      </c>
    </row>
    <row r="5" customFormat="false" ht="29.25" hidden="false" customHeight="true" outlineLevel="0" collapsed="false">
      <c r="A5" s="5" t="s">
        <v>6</v>
      </c>
      <c r="B5" s="6" t="n">
        <f aca="false">'Rob. inwest. WODA'!M12</f>
        <v>2857.35</v>
      </c>
      <c r="C5" s="6" t="n">
        <f aca="false">'Rob. inwest. WODA'!O12</f>
        <v>4267.71</v>
      </c>
    </row>
    <row r="6" customFormat="false" ht="29.25" hidden="false" customHeight="true" outlineLevel="0" collapsed="false">
      <c r="A6" s="5" t="s">
        <v>7</v>
      </c>
      <c r="B6" s="6" t="n">
        <f aca="false">'Rob. inwest. KANAŁ'!M18</f>
        <v>3581.9</v>
      </c>
      <c r="C6" s="6" t="n">
        <f aca="false">'Rob. inwest. KANAŁ'!O18</f>
        <v>6147.778</v>
      </c>
    </row>
    <row r="7" customFormat="false" ht="29.25" hidden="false" customHeight="true" outlineLevel="0" collapsed="false">
      <c r="A7" s="5" t="s">
        <v>8</v>
      </c>
      <c r="B7" s="5"/>
      <c r="C7" s="6" t="n">
        <f aca="false">'Rob. inwest. OCZYSZCZ.'!D5</f>
        <v>15426.25</v>
      </c>
    </row>
    <row r="8" customFormat="false" ht="30" hidden="false" customHeight="false" outlineLevel="0" collapsed="false">
      <c r="A8" s="7" t="s">
        <v>9</v>
      </c>
      <c r="B8" s="5"/>
      <c r="C8" s="6" t="n">
        <f aca="false">'1 Rob. inwest. REZERWA'!I6</f>
        <v>646.64</v>
      </c>
    </row>
    <row r="9" customFormat="false" ht="38.25" hidden="false" customHeight="true" outlineLevel="0" collapsed="false">
      <c r="A9" s="8" t="s">
        <v>10</v>
      </c>
      <c r="B9" s="9" t="n">
        <f aca="false">B5+B6+B7+B8</f>
        <v>6439.25</v>
      </c>
      <c r="C9" s="9" t="n">
        <f aca="false">C5+C6+C7+C8</f>
        <v>26488.378</v>
      </c>
    </row>
  </sheetData>
  <mergeCells count="2">
    <mergeCell ref="A3:A4"/>
    <mergeCell ref="B3:C3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C3D69B"/>
    <pageSetUpPr fitToPage="true"/>
  </sheetPr>
  <dimension ref="A1:Q12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85" zoomScalePageLayoutView="85" workbookViewId="0">
      <selection pane="topLeft" activeCell="I12" activeCellId="0" sqref="I12"/>
    </sheetView>
  </sheetViews>
  <sheetFormatPr defaultRowHeight="18.75" zeroHeight="false" outlineLevelRow="0" outlineLevelCol="0"/>
  <cols>
    <col collapsed="false" customWidth="true" hidden="false" outlineLevel="0" max="1" min="1" style="10" width="4.57"/>
    <col collapsed="false" customWidth="true" hidden="false" outlineLevel="0" max="2" min="2" style="11" width="47.7"/>
    <col collapsed="false" customWidth="true" hidden="false" outlineLevel="0" max="3" min="3" style="11" width="10"/>
    <col collapsed="false" customWidth="true" hidden="false" outlineLevel="0" max="4" min="4" style="11" width="19.99"/>
    <col collapsed="false" customWidth="true" hidden="false" outlineLevel="0" max="5" min="5" style="11" width="16.29"/>
    <col collapsed="false" customWidth="true" hidden="false" outlineLevel="0" max="6" min="6" style="12" width="15.71"/>
    <col collapsed="false" customWidth="true" hidden="false" outlineLevel="0" max="7" min="7" style="13" width="14.7"/>
    <col collapsed="false" customWidth="true" hidden="false" outlineLevel="0" max="8" min="8" style="14" width="14.7"/>
    <col collapsed="false" customWidth="true" hidden="false" outlineLevel="0" max="9" min="9" style="13" width="9.29"/>
    <col collapsed="false" customWidth="true" hidden="false" outlineLevel="0" max="10" min="10" style="13" width="14.7"/>
    <col collapsed="false" customWidth="true" hidden="false" outlineLevel="0" max="11" min="11" style="14" width="15.29"/>
    <col collapsed="false" customWidth="true" hidden="false" outlineLevel="0" max="12" min="12" style="13" width="11.57"/>
    <col collapsed="false" customWidth="true" hidden="false" outlineLevel="0" max="16" min="13" style="10" width="12.29"/>
    <col collapsed="false" customWidth="true" hidden="false" outlineLevel="0" max="17" min="17" style="10" width="25.29"/>
    <col collapsed="false" customWidth="true" hidden="false" outlineLevel="0" max="1025" min="18" style="10" width="8.86"/>
  </cols>
  <sheetData>
    <row r="1" customFormat="false" ht="18.75" hidden="false" customHeight="false" outlineLevel="0" collapsed="false">
      <c r="A1" s="14" t="s">
        <v>11</v>
      </c>
      <c r="B1" s="15"/>
      <c r="C1" s="15"/>
      <c r="D1" s="15"/>
      <c r="E1" s="15"/>
      <c r="F1" s="16"/>
    </row>
    <row r="2" customFormat="false" ht="16.15" hidden="false" customHeight="true" outlineLevel="0" collapsed="false">
      <c r="A2" s="17" t="s">
        <v>12</v>
      </c>
      <c r="B2" s="18" t="s">
        <v>13</v>
      </c>
      <c r="C2" s="18" t="s">
        <v>14</v>
      </c>
      <c r="D2" s="18" t="s">
        <v>15</v>
      </c>
      <c r="E2" s="18" t="s">
        <v>16</v>
      </c>
      <c r="F2" s="17" t="s">
        <v>17</v>
      </c>
      <c r="G2" s="19" t="s">
        <v>18</v>
      </c>
      <c r="H2" s="19"/>
      <c r="I2" s="19"/>
      <c r="J2" s="19" t="s">
        <v>19</v>
      </c>
      <c r="K2" s="19"/>
      <c r="L2" s="19"/>
      <c r="M2" s="20" t="s">
        <v>20</v>
      </c>
      <c r="N2" s="20"/>
      <c r="O2" s="20"/>
      <c r="P2" s="20"/>
      <c r="Q2" s="20" t="s">
        <v>21</v>
      </c>
    </row>
    <row r="3" customFormat="false" ht="15" hidden="false" customHeight="true" outlineLevel="0" collapsed="false">
      <c r="A3" s="17"/>
      <c r="B3" s="18"/>
      <c r="C3" s="18"/>
      <c r="D3" s="18"/>
      <c r="E3" s="18"/>
      <c r="F3" s="17"/>
      <c r="G3" s="19"/>
      <c r="H3" s="19"/>
      <c r="I3" s="19"/>
      <c r="J3" s="19"/>
      <c r="K3" s="19"/>
      <c r="L3" s="19"/>
      <c r="M3" s="20"/>
      <c r="N3" s="20"/>
      <c r="O3" s="20"/>
      <c r="P3" s="20"/>
      <c r="Q3" s="20"/>
    </row>
    <row r="4" customFormat="false" ht="15" hidden="false" customHeight="true" outlineLevel="0" collapsed="false">
      <c r="A4" s="17"/>
      <c r="B4" s="18"/>
      <c r="C4" s="18"/>
      <c r="D4" s="18"/>
      <c r="E4" s="18"/>
      <c r="F4" s="17"/>
      <c r="G4" s="19"/>
      <c r="H4" s="19"/>
      <c r="I4" s="19"/>
      <c r="J4" s="19"/>
      <c r="K4" s="19"/>
      <c r="L4" s="19"/>
      <c r="M4" s="20" t="s">
        <v>22</v>
      </c>
      <c r="N4" s="20"/>
      <c r="O4" s="21" t="s">
        <v>23</v>
      </c>
      <c r="P4" s="21"/>
      <c r="Q4" s="20"/>
    </row>
    <row r="5" customFormat="false" ht="46.5" hidden="false" customHeight="true" outlineLevel="0" collapsed="false">
      <c r="A5" s="17"/>
      <c r="B5" s="18"/>
      <c r="C5" s="18"/>
      <c r="D5" s="18"/>
      <c r="E5" s="18"/>
      <c r="F5" s="17"/>
      <c r="G5" s="22" t="s">
        <v>24</v>
      </c>
      <c r="H5" s="23" t="s">
        <v>25</v>
      </c>
      <c r="I5" s="24" t="s">
        <v>26</v>
      </c>
      <c r="J5" s="25" t="s">
        <v>27</v>
      </c>
      <c r="K5" s="23" t="s">
        <v>25</v>
      </c>
      <c r="L5" s="26" t="n">
        <v>2025</v>
      </c>
      <c r="M5" s="21" t="s">
        <v>4</v>
      </c>
      <c r="N5" s="21" t="s">
        <v>28</v>
      </c>
      <c r="O5" s="21" t="s">
        <v>29</v>
      </c>
      <c r="P5" s="21" t="s">
        <v>28</v>
      </c>
      <c r="Q5" s="20"/>
    </row>
    <row r="6" customFormat="false" ht="63" hidden="false" customHeight="false" outlineLevel="0" collapsed="false">
      <c r="A6" s="27" t="s">
        <v>30</v>
      </c>
      <c r="B6" s="28" t="s">
        <v>31</v>
      </c>
      <c r="C6" s="29" t="s">
        <v>32</v>
      </c>
      <c r="D6" s="30" t="s">
        <v>33</v>
      </c>
      <c r="E6" s="31"/>
      <c r="F6" s="32" t="s">
        <v>34</v>
      </c>
      <c r="G6" s="33"/>
      <c r="H6" s="34" t="n">
        <v>1794</v>
      </c>
      <c r="I6" s="35"/>
      <c r="J6" s="36" t="n">
        <v>113.62</v>
      </c>
      <c r="K6" s="37" t="n">
        <v>1540</v>
      </c>
      <c r="L6" s="27"/>
      <c r="M6" s="38" t="n">
        <v>1794.17</v>
      </c>
      <c r="N6" s="39" t="n">
        <f aca="false">M6/H6</f>
        <v>1.00009476031215</v>
      </c>
      <c r="O6" s="27" t="n">
        <f aca="false">0.29+54.43+409.17+281.89+247.24+170.1+137.66+135.11+48.27+32.36</f>
        <v>1516.52</v>
      </c>
      <c r="P6" s="39" t="n">
        <f aca="false">O6/K6</f>
        <v>0.984753246753247</v>
      </c>
      <c r="Q6" s="40" t="s">
        <v>35</v>
      </c>
    </row>
    <row r="7" customFormat="false" ht="31.5" hidden="false" customHeight="false" outlineLevel="0" collapsed="false">
      <c r="A7" s="27" t="s">
        <v>36</v>
      </c>
      <c r="B7" s="28" t="s">
        <v>37</v>
      </c>
      <c r="C7" s="41" t="s">
        <v>38</v>
      </c>
      <c r="D7" s="30" t="s">
        <v>39</v>
      </c>
      <c r="E7" s="31" t="s">
        <v>40</v>
      </c>
      <c r="F7" s="32" t="s">
        <v>41</v>
      </c>
      <c r="G7" s="42"/>
      <c r="H7" s="34" t="n">
        <v>623</v>
      </c>
      <c r="I7" s="35"/>
      <c r="J7" s="36" t="n">
        <v>30</v>
      </c>
      <c r="K7" s="37" t="n">
        <f aca="false">668.21+16</f>
        <v>684.21</v>
      </c>
      <c r="L7" s="27"/>
      <c r="M7" s="43" t="n">
        <f aca="false">113+300+199+10+1+0.12</f>
        <v>623.12</v>
      </c>
      <c r="N7" s="39" t="n">
        <f aca="false">M7/H7</f>
        <v>1.00019261637239</v>
      </c>
      <c r="O7" s="44" t="n">
        <f aca="false">193.59+108.74+139.65+90+110.74</f>
        <v>642.72</v>
      </c>
      <c r="P7" s="39" t="n">
        <f aca="false">O7/K7</f>
        <v>0.939360722585171</v>
      </c>
      <c r="Q7" s="45" t="s">
        <v>42</v>
      </c>
    </row>
    <row r="8" customFormat="false" ht="78.75" hidden="false" customHeight="false" outlineLevel="0" collapsed="false">
      <c r="A8" s="27" t="s">
        <v>43</v>
      </c>
      <c r="B8" s="46" t="s">
        <v>44</v>
      </c>
      <c r="C8" s="47" t="s">
        <v>38</v>
      </c>
      <c r="D8" s="36" t="s">
        <v>45</v>
      </c>
      <c r="E8" s="47" t="s">
        <v>46</v>
      </c>
      <c r="F8" s="48" t="s">
        <v>34</v>
      </c>
      <c r="G8" s="27" t="n">
        <v>692</v>
      </c>
      <c r="H8" s="34" t="n">
        <f aca="false">819.81-G8</f>
        <v>127.81</v>
      </c>
      <c r="I8" s="46"/>
      <c r="J8" s="27" t="n">
        <f aca="false">1153.96+50.34</f>
        <v>1204.3</v>
      </c>
      <c r="K8" s="37" t="n">
        <v>726.73</v>
      </c>
      <c r="L8" s="46"/>
      <c r="M8" s="49" t="n">
        <f aca="false">105.31+18.08+4.42</f>
        <v>127.81</v>
      </c>
      <c r="N8" s="39" t="n">
        <f aca="false">M8/H8</f>
        <v>1</v>
      </c>
      <c r="O8" s="50" t="n">
        <f aca="false">2.05+3.05+272.07+2.98+429.17+3.84+5.53+6.02+2.01</f>
        <v>726.72</v>
      </c>
      <c r="P8" s="39" t="n">
        <f aca="false">O8/K8</f>
        <v>0.9999862397314</v>
      </c>
      <c r="Q8" s="45" t="s">
        <v>42</v>
      </c>
    </row>
    <row r="9" s="53" customFormat="true" ht="31.5" hidden="false" customHeight="false" outlineLevel="0" collapsed="false">
      <c r="A9" s="27" t="s">
        <v>47</v>
      </c>
      <c r="B9" s="28" t="s">
        <v>48</v>
      </c>
      <c r="C9" s="30" t="s">
        <v>38</v>
      </c>
      <c r="D9" s="51" t="s">
        <v>49</v>
      </c>
      <c r="E9" s="52" t="s">
        <v>50</v>
      </c>
      <c r="F9" s="32" t="s">
        <v>51</v>
      </c>
      <c r="G9" s="38" t="n">
        <v>1424.83</v>
      </c>
      <c r="H9" s="37" t="n">
        <v>0</v>
      </c>
      <c r="I9" s="38"/>
      <c r="J9" s="38" t="n">
        <v>318.1</v>
      </c>
      <c r="K9" s="37" t="n">
        <v>618.19</v>
      </c>
      <c r="L9" s="46"/>
      <c r="M9" s="38"/>
      <c r="N9" s="39"/>
      <c r="O9" s="44" t="n">
        <f aca="false">0.81+0.75+1.41+0.78+611.99+0.78+1.67</f>
        <v>618.19</v>
      </c>
      <c r="P9" s="39" t="n">
        <f aca="false">O9/K9</f>
        <v>1</v>
      </c>
      <c r="Q9" s="45" t="s">
        <v>42</v>
      </c>
    </row>
    <row r="10" s="57" customFormat="true" ht="47.25" hidden="false" customHeight="false" outlineLevel="0" collapsed="false">
      <c r="A10" s="27" t="s">
        <v>52</v>
      </c>
      <c r="B10" s="54" t="s">
        <v>53</v>
      </c>
      <c r="C10" s="29" t="s">
        <v>38</v>
      </c>
      <c r="D10" s="30" t="s">
        <v>54</v>
      </c>
      <c r="E10" s="51" t="s">
        <v>55</v>
      </c>
      <c r="F10" s="32" t="s">
        <v>56</v>
      </c>
      <c r="G10" s="38" t="n">
        <v>1257.49</v>
      </c>
      <c r="H10" s="55" t="n">
        <v>51.38</v>
      </c>
      <c r="I10" s="56"/>
      <c r="J10" s="38" t="n">
        <v>1231.64</v>
      </c>
      <c r="K10" s="55" t="n">
        <v>336.2</v>
      </c>
      <c r="L10" s="33"/>
      <c r="M10" s="43" t="n">
        <v>51.38</v>
      </c>
      <c r="N10" s="39" t="n">
        <f aca="false">M10/H10</f>
        <v>1</v>
      </c>
      <c r="O10" s="50" t="n">
        <f aca="false">2.86+333.34</f>
        <v>336.2</v>
      </c>
      <c r="P10" s="39" t="n">
        <f aca="false">O10/K10</f>
        <v>1</v>
      </c>
      <c r="Q10" s="45" t="s">
        <v>42</v>
      </c>
    </row>
    <row r="11" s="57" customFormat="true" ht="31.5" hidden="false" customHeight="false" outlineLevel="0" collapsed="false">
      <c r="A11" s="27" t="s">
        <v>57</v>
      </c>
      <c r="B11" s="58" t="s">
        <v>58</v>
      </c>
      <c r="C11" s="59" t="s">
        <v>38</v>
      </c>
      <c r="D11" s="51" t="s">
        <v>59</v>
      </c>
      <c r="E11" s="60" t="s">
        <v>60</v>
      </c>
      <c r="F11" s="61" t="s">
        <v>51</v>
      </c>
      <c r="G11" s="38" t="n">
        <v>100</v>
      </c>
      <c r="H11" s="55" t="n">
        <v>260.87</v>
      </c>
      <c r="I11" s="56"/>
      <c r="J11" s="38" t="n">
        <v>84.95</v>
      </c>
      <c r="K11" s="55" t="n">
        <f aca="false">(403.2556-65.74413)+89.19251+0.66</f>
        <v>427.36398</v>
      </c>
      <c r="L11" s="33"/>
      <c r="M11" s="43" t="n">
        <f aca="false">150+34.59+25+24.88+15.9+10.5</f>
        <v>260.87</v>
      </c>
      <c r="N11" s="39" t="n">
        <f aca="false">M11/H11</f>
        <v>1</v>
      </c>
      <c r="O11" s="44" t="n">
        <f aca="false">240.95+87.12+9.44+89.85</f>
        <v>427.36</v>
      </c>
      <c r="P11" s="39" t="n">
        <f aca="false">O11/K11</f>
        <v>0.999990687095342</v>
      </c>
      <c r="Q11" s="40" t="s">
        <v>61</v>
      </c>
    </row>
    <row r="12" s="70" customFormat="true" ht="30" hidden="false" customHeight="true" outlineLevel="0" collapsed="false">
      <c r="A12" s="62"/>
      <c r="B12" s="63" t="s">
        <v>62</v>
      </c>
      <c r="C12" s="63"/>
      <c r="D12" s="64"/>
      <c r="E12" s="65"/>
      <c r="F12" s="65"/>
      <c r="G12" s="66" t="n">
        <f aca="false">SUM(G6:G11)</f>
        <v>3474.32</v>
      </c>
      <c r="H12" s="66" t="n">
        <f aca="false">SUM(H6:H11)</f>
        <v>2857.06</v>
      </c>
      <c r="I12" s="66" t="n">
        <f aca="false">SUM(I6:I11)</f>
        <v>0</v>
      </c>
      <c r="J12" s="66" t="n">
        <f aca="false">SUM(J6:J11)</f>
        <v>2982.61</v>
      </c>
      <c r="K12" s="66" t="n">
        <f aca="false">SUM(K6:K11)</f>
        <v>4332.69398</v>
      </c>
      <c r="L12" s="66" t="n">
        <f aca="false">SUM(L6:L11)</f>
        <v>0</v>
      </c>
      <c r="M12" s="67" t="n">
        <f aca="false">SUM(M6:M11)</f>
        <v>2857.35</v>
      </c>
      <c r="N12" s="68" t="n">
        <f aca="false">M12/H12</f>
        <v>1.00010150294359</v>
      </c>
      <c r="O12" s="67" t="n">
        <f aca="false">SUM(O6:O11)</f>
        <v>4267.71</v>
      </c>
      <c r="P12" s="68" t="n">
        <f aca="false">O12/K12</f>
        <v>0.985001483995877</v>
      </c>
      <c r="Q12" s="69"/>
    </row>
  </sheetData>
  <mergeCells count="12">
    <mergeCell ref="A2:A5"/>
    <mergeCell ref="B2:B5"/>
    <mergeCell ref="C2:C5"/>
    <mergeCell ref="D2:D5"/>
    <mergeCell ref="E2:E5"/>
    <mergeCell ref="F2:F5"/>
    <mergeCell ref="G2:I4"/>
    <mergeCell ref="J2:L4"/>
    <mergeCell ref="M2:P3"/>
    <mergeCell ref="Q2:Q5"/>
    <mergeCell ref="M4:N4"/>
    <mergeCell ref="O4:P4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5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C3D69B"/>
    <pageSetUpPr fitToPage="true"/>
  </sheetPr>
  <dimension ref="A1:Q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" min="1" style="10" width="4.57"/>
    <col collapsed="false" customWidth="true" hidden="false" outlineLevel="0" max="2" min="2" style="10" width="53.29"/>
    <col collapsed="false" customWidth="true" hidden="false" outlineLevel="0" max="3" min="3" style="10" width="11.29"/>
    <col collapsed="false" customWidth="true" hidden="false" outlineLevel="0" max="4" min="4" style="10" width="18.58"/>
    <col collapsed="false" customWidth="true" hidden="false" outlineLevel="0" max="5" min="5" style="10" width="15.71"/>
    <col collapsed="false" customWidth="true" hidden="false" outlineLevel="0" max="6" min="6" style="10" width="10.85"/>
    <col collapsed="false" customWidth="true" hidden="false" outlineLevel="0" max="7" min="7" style="10" width="13.01"/>
    <col collapsed="false" customWidth="true" hidden="false" outlineLevel="0" max="8" min="8" style="71" width="13.01"/>
    <col collapsed="false" customWidth="true" hidden="false" outlineLevel="0" max="9" min="9" style="71" width="10.85"/>
    <col collapsed="false" customWidth="true" hidden="false" outlineLevel="0" max="10" min="10" style="10" width="13.01"/>
    <col collapsed="false" customWidth="true" hidden="false" outlineLevel="0" max="12" min="11" style="71" width="13.01"/>
    <col collapsed="false" customWidth="false" hidden="false" outlineLevel="0" max="16" min="13" style="10" width="11.42"/>
    <col collapsed="false" customWidth="true" hidden="false" outlineLevel="0" max="17" min="17" style="10" width="42.42"/>
    <col collapsed="false" customWidth="true" hidden="false" outlineLevel="0" max="1025" min="18" style="10" width="8.86"/>
  </cols>
  <sheetData>
    <row r="1" s="13" customFormat="true" ht="18" hidden="false" customHeight="true" outlineLevel="0" collapsed="false">
      <c r="A1" s="14" t="s">
        <v>63</v>
      </c>
      <c r="B1" s="72"/>
      <c r="C1" s="72"/>
      <c r="D1" s="14"/>
      <c r="E1" s="14"/>
      <c r="F1" s="73"/>
      <c r="H1" s="14"/>
      <c r="I1" s="14"/>
      <c r="K1" s="14"/>
      <c r="L1" s="14"/>
    </row>
    <row r="2" customFormat="false" ht="16.15" hidden="false" customHeight="true" outlineLevel="0" collapsed="false">
      <c r="A2" s="17" t="s">
        <v>12</v>
      </c>
      <c r="B2" s="18" t="s">
        <v>13</v>
      </c>
      <c r="C2" s="18" t="s">
        <v>64</v>
      </c>
      <c r="D2" s="74" t="s">
        <v>65</v>
      </c>
      <c r="E2" s="74" t="s">
        <v>66</v>
      </c>
      <c r="F2" s="17" t="s">
        <v>17</v>
      </c>
      <c r="G2" s="19" t="s">
        <v>18</v>
      </c>
      <c r="H2" s="19"/>
      <c r="I2" s="19"/>
      <c r="J2" s="19" t="s">
        <v>19</v>
      </c>
      <c r="K2" s="19"/>
      <c r="L2" s="19"/>
      <c r="M2" s="20" t="s">
        <v>20</v>
      </c>
      <c r="N2" s="20"/>
      <c r="O2" s="20"/>
      <c r="P2" s="20"/>
      <c r="Q2" s="20" t="s">
        <v>21</v>
      </c>
    </row>
    <row r="3" customFormat="false" ht="15.6" hidden="false" customHeight="true" outlineLevel="0" collapsed="false">
      <c r="A3" s="17"/>
      <c r="B3" s="18"/>
      <c r="C3" s="18"/>
      <c r="D3" s="74"/>
      <c r="E3" s="74"/>
      <c r="F3" s="17"/>
      <c r="G3" s="19"/>
      <c r="H3" s="19"/>
      <c r="I3" s="19"/>
      <c r="J3" s="19"/>
      <c r="K3" s="19"/>
      <c r="L3" s="19"/>
      <c r="M3" s="20"/>
      <c r="N3" s="20"/>
      <c r="O3" s="20"/>
      <c r="P3" s="20"/>
      <c r="Q3" s="20"/>
    </row>
    <row r="4" customFormat="false" ht="15.6" hidden="false" customHeight="true" outlineLevel="0" collapsed="false">
      <c r="A4" s="17"/>
      <c r="B4" s="18"/>
      <c r="C4" s="18"/>
      <c r="D4" s="74"/>
      <c r="E4" s="74"/>
      <c r="F4" s="17"/>
      <c r="G4" s="19"/>
      <c r="H4" s="19"/>
      <c r="I4" s="19"/>
      <c r="J4" s="19"/>
      <c r="K4" s="19"/>
      <c r="L4" s="19"/>
      <c r="M4" s="20" t="s">
        <v>22</v>
      </c>
      <c r="N4" s="20"/>
      <c r="O4" s="21" t="s">
        <v>23</v>
      </c>
      <c r="P4" s="21"/>
      <c r="Q4" s="20"/>
    </row>
    <row r="5" customFormat="false" ht="45" hidden="false" customHeight="true" outlineLevel="0" collapsed="false">
      <c r="A5" s="17"/>
      <c r="B5" s="18"/>
      <c r="C5" s="18"/>
      <c r="D5" s="17" t="s">
        <v>67</v>
      </c>
      <c r="E5" s="74" t="s">
        <v>68</v>
      </c>
      <c r="F5" s="17"/>
      <c r="G5" s="22" t="s">
        <v>24</v>
      </c>
      <c r="H5" s="23" t="s">
        <v>25</v>
      </c>
      <c r="I5" s="24" t="s">
        <v>26</v>
      </c>
      <c r="J5" s="25" t="s">
        <v>27</v>
      </c>
      <c r="K5" s="23" t="s">
        <v>25</v>
      </c>
      <c r="L5" s="26" t="n">
        <v>2025</v>
      </c>
      <c r="M5" s="21" t="s">
        <v>4</v>
      </c>
      <c r="N5" s="21" t="s">
        <v>28</v>
      </c>
      <c r="O5" s="21" t="s">
        <v>29</v>
      </c>
      <c r="P5" s="21" t="s">
        <v>28</v>
      </c>
      <c r="Q5" s="20"/>
    </row>
    <row r="6" customFormat="false" ht="38.25" hidden="false" customHeight="true" outlineLevel="0" collapsed="false">
      <c r="A6" s="44" t="s">
        <v>30</v>
      </c>
      <c r="B6" s="75" t="s">
        <v>69</v>
      </c>
      <c r="C6" s="30" t="s">
        <v>38</v>
      </c>
      <c r="D6" s="51" t="s">
        <v>59</v>
      </c>
      <c r="E6" s="51" t="s">
        <v>60</v>
      </c>
      <c r="F6" s="32" t="s">
        <v>70</v>
      </c>
      <c r="G6" s="47" t="n">
        <v>280</v>
      </c>
      <c r="H6" s="76" t="n">
        <f aca="false">927.22-G6</f>
        <v>647.22</v>
      </c>
      <c r="I6" s="77"/>
      <c r="J6" s="78" t="n">
        <v>344.4</v>
      </c>
      <c r="K6" s="66" t="n">
        <f aca="false">1746.01097-256.88044+500.97607+2.34</f>
        <v>1992.4466</v>
      </c>
      <c r="L6" s="79"/>
      <c r="M6" s="38" t="n">
        <f aca="false">165+127.13+110+140.7+215+45.21-155.82</f>
        <v>647.22</v>
      </c>
      <c r="N6" s="39" t="n">
        <f aca="false">M6/H6</f>
        <v>1</v>
      </c>
      <c r="O6" s="27" t="n">
        <f aca="false">634.68+620.99+233.46+503.32</f>
        <v>1992.45</v>
      </c>
      <c r="P6" s="39" t="n">
        <f aca="false">O6/K6</f>
        <v>1.00000170644473</v>
      </c>
      <c r="Q6" s="31" t="s">
        <v>61</v>
      </c>
    </row>
    <row r="7" customFormat="false" ht="48" hidden="false" customHeight="false" outlineLevel="0" collapsed="false">
      <c r="A7" s="44" t="s">
        <v>36</v>
      </c>
      <c r="B7" s="80" t="s">
        <v>71</v>
      </c>
      <c r="C7" s="30" t="s">
        <v>38</v>
      </c>
      <c r="D7" s="51" t="s">
        <v>72</v>
      </c>
      <c r="E7" s="51" t="s">
        <v>73</v>
      </c>
      <c r="F7" s="32" t="n">
        <v>200</v>
      </c>
      <c r="G7" s="47" t="n">
        <v>56</v>
      </c>
      <c r="H7" s="76" t="n">
        <v>540.09</v>
      </c>
      <c r="I7" s="77"/>
      <c r="J7" s="78" t="n">
        <v>75.29</v>
      </c>
      <c r="K7" s="66" t="n">
        <v>394.6</v>
      </c>
      <c r="L7" s="78"/>
      <c r="M7" s="38" t="n">
        <f aca="false">109+103+230+60+38.09</f>
        <v>540.09</v>
      </c>
      <c r="N7" s="39" t="n">
        <f aca="false">M7/H7</f>
        <v>1</v>
      </c>
      <c r="O7" s="27" t="n">
        <f aca="false">0.09+0.09+58.07+57.84+133.05+0.092+0.096+145.27</f>
        <v>394.598</v>
      </c>
      <c r="P7" s="39" t="n">
        <f aca="false">O7/K7</f>
        <v>0.99999493157628</v>
      </c>
      <c r="Q7" s="81" t="s">
        <v>42</v>
      </c>
    </row>
    <row r="8" customFormat="false" ht="32.25" hidden="false" customHeight="false" outlineLevel="0" collapsed="false">
      <c r="A8" s="44" t="s">
        <v>43</v>
      </c>
      <c r="B8" s="31" t="s">
        <v>74</v>
      </c>
      <c r="C8" s="30" t="s">
        <v>38</v>
      </c>
      <c r="D8" s="51" t="s">
        <v>75</v>
      </c>
      <c r="E8" s="51" t="s">
        <v>76</v>
      </c>
      <c r="F8" s="32" t="s">
        <v>77</v>
      </c>
      <c r="G8" s="47" t="n">
        <v>0</v>
      </c>
      <c r="H8" s="76" t="n">
        <v>367</v>
      </c>
      <c r="I8" s="78"/>
      <c r="J8" s="78" t="n">
        <v>31.01</v>
      </c>
      <c r="K8" s="66" t="n">
        <f aca="false">318.98</f>
        <v>318.98</v>
      </c>
      <c r="L8" s="78"/>
      <c r="M8" s="38" t="n">
        <f aca="false">60+60+75+140+32+0.8</f>
        <v>367.8</v>
      </c>
      <c r="N8" s="39" t="n">
        <f aca="false">M8/H8</f>
        <v>1.00217983651226</v>
      </c>
      <c r="O8" s="82" t="n">
        <f aca="false">0.007+0.008+25.55+0.008+50.27+0.007+135.12+108.01</f>
        <v>318.98</v>
      </c>
      <c r="P8" s="39" t="n">
        <f aca="false">O8/K8</f>
        <v>1</v>
      </c>
      <c r="Q8" s="81" t="s">
        <v>42</v>
      </c>
    </row>
    <row r="9" customFormat="false" ht="94.5" hidden="false" customHeight="false" outlineLevel="0" collapsed="false">
      <c r="A9" s="44" t="s">
        <v>47</v>
      </c>
      <c r="B9" s="54" t="s">
        <v>78</v>
      </c>
      <c r="C9" s="30" t="s">
        <v>38</v>
      </c>
      <c r="D9" s="51" t="s">
        <v>79</v>
      </c>
      <c r="E9" s="51" t="s">
        <v>80</v>
      </c>
      <c r="F9" s="32" t="s">
        <v>81</v>
      </c>
      <c r="G9" s="47" t="n">
        <v>0</v>
      </c>
      <c r="H9" s="83" t="n">
        <v>1651.2</v>
      </c>
      <c r="I9" s="84"/>
      <c r="J9" s="78" t="n">
        <v>210.8</v>
      </c>
      <c r="K9" s="66" t="n">
        <v>4145.041</v>
      </c>
      <c r="L9" s="85"/>
      <c r="M9" s="38" t="n">
        <f aca="false">100+160+96+360+334+205+320+45</f>
        <v>1620</v>
      </c>
      <c r="N9" s="39" t="n">
        <f aca="false">M9/H9</f>
        <v>0.981104651162791</v>
      </c>
      <c r="O9" s="27" t="n">
        <f aca="false">191.15+566.75+414.08+2.4+540.31+3.17+1163.33</f>
        <v>2881.19</v>
      </c>
      <c r="P9" s="39" t="n">
        <f aca="false">O9/K9</f>
        <v>0.695093245157286</v>
      </c>
      <c r="Q9" s="31" t="s">
        <v>82</v>
      </c>
    </row>
    <row r="10" customFormat="false" ht="31.5" hidden="false" customHeight="false" outlineLevel="0" collapsed="false">
      <c r="A10" s="44" t="s">
        <v>52</v>
      </c>
      <c r="B10" s="80" t="s">
        <v>83</v>
      </c>
      <c r="C10" s="30" t="s">
        <v>38</v>
      </c>
      <c r="D10" s="51" t="s">
        <v>84</v>
      </c>
      <c r="E10" s="51" t="s">
        <v>85</v>
      </c>
      <c r="F10" s="32" t="s">
        <v>86</v>
      </c>
      <c r="G10" s="47" t="n">
        <v>0</v>
      </c>
      <c r="H10" s="83" t="n">
        <v>283.83</v>
      </c>
      <c r="I10" s="86"/>
      <c r="J10" s="78" t="n">
        <v>24</v>
      </c>
      <c r="K10" s="87" t="n">
        <v>592.33</v>
      </c>
      <c r="L10" s="88"/>
      <c r="M10" s="38" t="n">
        <f aca="false">95+135+50</f>
        <v>280</v>
      </c>
      <c r="N10" s="39" t="n">
        <f aca="false">M10/H10</f>
        <v>0.986506007116936</v>
      </c>
      <c r="O10" s="27" t="n">
        <v>277.49</v>
      </c>
      <c r="P10" s="39" t="n">
        <f aca="false">O10/K10</f>
        <v>0.468471966640218</v>
      </c>
      <c r="Q10" s="75" t="s">
        <v>87</v>
      </c>
    </row>
    <row r="11" customFormat="false" ht="123.75" hidden="false" customHeight="true" outlineLevel="0" collapsed="false">
      <c r="A11" s="44" t="s">
        <v>57</v>
      </c>
      <c r="B11" s="80" t="s">
        <v>88</v>
      </c>
      <c r="C11" s="30" t="s">
        <v>38</v>
      </c>
      <c r="D11" s="51" t="s">
        <v>89</v>
      </c>
      <c r="E11" s="51" t="s">
        <v>90</v>
      </c>
      <c r="F11" s="32" t="s">
        <v>86</v>
      </c>
      <c r="G11" s="47" t="n">
        <v>0</v>
      </c>
      <c r="H11" s="76" t="n">
        <v>126.79</v>
      </c>
      <c r="I11" s="47"/>
      <c r="J11" s="78" t="n">
        <v>18.77</v>
      </c>
      <c r="K11" s="66" t="n">
        <v>340.8</v>
      </c>
      <c r="L11" s="89"/>
      <c r="M11" s="38" t="n">
        <f aca="false">85+41.79</f>
        <v>126.79</v>
      </c>
      <c r="N11" s="39" t="n">
        <f aca="false">M11/H11</f>
        <v>1</v>
      </c>
      <c r="O11" s="27" t="n">
        <f aca="false">0.05+0.04+0.05+0.05+0.05+14.55+0.05+141.61+0.089+0.091</f>
        <v>156.63</v>
      </c>
      <c r="P11" s="39" t="n">
        <f aca="false">O11/K11</f>
        <v>0.459595070422535</v>
      </c>
      <c r="Q11" s="31" t="s">
        <v>91</v>
      </c>
    </row>
    <row r="12" customFormat="false" ht="31.5" hidden="false" customHeight="true" outlineLevel="0" collapsed="false">
      <c r="A12" s="44" t="s">
        <v>92</v>
      </c>
      <c r="B12" s="31" t="s">
        <v>93</v>
      </c>
      <c r="C12" s="30" t="s">
        <v>38</v>
      </c>
      <c r="D12" s="51"/>
      <c r="E12" s="51" t="s">
        <v>94</v>
      </c>
      <c r="F12" s="90" t="n">
        <v>600</v>
      </c>
      <c r="G12" s="91"/>
      <c r="H12" s="76" t="n">
        <v>196.88</v>
      </c>
      <c r="I12" s="47"/>
      <c r="J12" s="78"/>
      <c r="K12" s="66" t="n">
        <v>198.6</v>
      </c>
      <c r="L12" s="89"/>
      <c r="M12" s="38"/>
      <c r="N12" s="39" t="n">
        <f aca="false">M12/H12</f>
        <v>0</v>
      </c>
      <c r="O12" s="27" t="n">
        <v>9.5</v>
      </c>
      <c r="P12" s="39" t="n">
        <f aca="false">O12/K12</f>
        <v>0.0478348439073515</v>
      </c>
      <c r="Q12" s="92" t="s">
        <v>95</v>
      </c>
    </row>
    <row r="13" customFormat="false" ht="31.5" hidden="false" customHeight="false" outlineLevel="0" collapsed="false">
      <c r="A13" s="44" t="s">
        <v>96</v>
      </c>
      <c r="B13" s="31" t="s">
        <v>97</v>
      </c>
      <c r="C13" s="30" t="s">
        <v>38</v>
      </c>
      <c r="D13" s="51"/>
      <c r="E13" s="51" t="s">
        <v>94</v>
      </c>
      <c r="F13" s="90" t="s">
        <v>98</v>
      </c>
      <c r="G13" s="91"/>
      <c r="H13" s="76" t="n">
        <v>28.31</v>
      </c>
      <c r="I13" s="47"/>
      <c r="J13" s="78"/>
      <c r="K13" s="66" t="n">
        <v>21.5</v>
      </c>
      <c r="L13" s="89"/>
      <c r="M13" s="38"/>
      <c r="N13" s="39" t="n">
        <f aca="false">M13/H13</f>
        <v>0</v>
      </c>
      <c r="O13" s="27" t="n">
        <v>3.5</v>
      </c>
      <c r="P13" s="39" t="n">
        <f aca="false">O13/K13</f>
        <v>0.162790697674419</v>
      </c>
      <c r="Q13" s="92"/>
    </row>
    <row r="14" customFormat="false" ht="31.5" hidden="false" customHeight="false" outlineLevel="0" collapsed="false">
      <c r="A14" s="44" t="s">
        <v>99</v>
      </c>
      <c r="B14" s="31" t="s">
        <v>100</v>
      </c>
      <c r="C14" s="30" t="s">
        <v>38</v>
      </c>
      <c r="D14" s="51"/>
      <c r="E14" s="51" t="s">
        <v>94</v>
      </c>
      <c r="F14" s="90" t="n">
        <v>400</v>
      </c>
      <c r="G14" s="91"/>
      <c r="H14" s="76" t="n">
        <v>185</v>
      </c>
      <c r="I14" s="47"/>
      <c r="J14" s="78"/>
      <c r="K14" s="66" t="n">
        <v>132</v>
      </c>
      <c r="L14" s="89"/>
      <c r="M14" s="38"/>
      <c r="N14" s="39" t="n">
        <f aca="false">M14/H14</f>
        <v>0</v>
      </c>
      <c r="O14" s="27" t="n">
        <v>7.5</v>
      </c>
      <c r="P14" s="39" t="n">
        <f aca="false">O14/K14</f>
        <v>0.0568181818181818</v>
      </c>
      <c r="Q14" s="92"/>
    </row>
    <row r="15" customFormat="false" ht="31.5" hidden="false" customHeight="false" outlineLevel="0" collapsed="false">
      <c r="A15" s="44" t="s">
        <v>101</v>
      </c>
      <c r="B15" s="31" t="s">
        <v>102</v>
      </c>
      <c r="C15" s="30" t="s">
        <v>38</v>
      </c>
      <c r="D15" s="51"/>
      <c r="E15" s="51" t="s">
        <v>94</v>
      </c>
      <c r="F15" s="90" t="s">
        <v>103</v>
      </c>
      <c r="G15" s="91"/>
      <c r="H15" s="76" t="n">
        <v>146.5</v>
      </c>
      <c r="I15" s="47"/>
      <c r="J15" s="78"/>
      <c r="K15" s="66" t="n">
        <v>582.5</v>
      </c>
      <c r="L15" s="89"/>
      <c r="M15" s="38"/>
      <c r="N15" s="39" t="n">
        <f aca="false">M15/H15</f>
        <v>0</v>
      </c>
      <c r="O15" s="27" t="n">
        <v>11</v>
      </c>
      <c r="P15" s="39" t="n">
        <f aca="false">O15/K15</f>
        <v>0.0188841201716738</v>
      </c>
      <c r="Q15" s="92"/>
    </row>
    <row r="16" customFormat="false" ht="31.5" hidden="false" customHeight="false" outlineLevel="0" collapsed="false">
      <c r="A16" s="44" t="s">
        <v>104</v>
      </c>
      <c r="B16" s="31" t="s">
        <v>105</v>
      </c>
      <c r="C16" s="30" t="s">
        <v>38</v>
      </c>
      <c r="D16" s="51"/>
      <c r="E16" s="51" t="s">
        <v>94</v>
      </c>
      <c r="F16" s="32" t="n">
        <v>600</v>
      </c>
      <c r="G16" s="91"/>
      <c r="H16" s="76" t="n">
        <v>40</v>
      </c>
      <c r="I16" s="77"/>
      <c r="J16" s="78"/>
      <c r="K16" s="66" t="n">
        <v>93</v>
      </c>
      <c r="L16" s="79"/>
      <c r="M16" s="38"/>
      <c r="N16" s="39" t="n">
        <f aca="false">M16/H16</f>
        <v>0</v>
      </c>
      <c r="O16" s="27" t="n">
        <v>5</v>
      </c>
      <c r="P16" s="39" t="n">
        <f aca="false">O16/K16</f>
        <v>0.0537634408602151</v>
      </c>
      <c r="Q16" s="92"/>
    </row>
    <row r="17" customFormat="false" ht="32.25" hidden="false" customHeight="false" outlineLevel="0" collapsed="false">
      <c r="A17" s="44" t="s">
        <v>106</v>
      </c>
      <c r="B17" s="93" t="s">
        <v>107</v>
      </c>
      <c r="C17" s="30"/>
      <c r="D17" s="51"/>
      <c r="E17" s="51"/>
      <c r="F17" s="32"/>
      <c r="G17" s="91"/>
      <c r="H17" s="76"/>
      <c r="I17" s="77"/>
      <c r="J17" s="78"/>
      <c r="K17" s="66" t="n">
        <v>89.94</v>
      </c>
      <c r="L17" s="79"/>
      <c r="M17" s="38"/>
      <c r="N17" s="39"/>
      <c r="O17" s="27" t="n">
        <v>89.94</v>
      </c>
      <c r="P17" s="39" t="n">
        <f aca="false">O17/K17</f>
        <v>1</v>
      </c>
      <c r="Q17" s="81" t="s">
        <v>42</v>
      </c>
    </row>
    <row r="18" s="100" customFormat="true" ht="25.15" hidden="false" customHeight="true" outlineLevel="0" collapsed="false">
      <c r="A18" s="94"/>
      <c r="B18" s="95" t="s">
        <v>108</v>
      </c>
      <c r="C18" s="96"/>
      <c r="D18" s="97"/>
      <c r="E18" s="98"/>
      <c r="F18" s="98"/>
      <c r="G18" s="87" t="n">
        <f aca="false">SUM(G6:G17)</f>
        <v>336</v>
      </c>
      <c r="H18" s="87" t="n">
        <f aca="false">SUM(H6:H17)</f>
        <v>4212.82</v>
      </c>
      <c r="I18" s="87" t="n">
        <f aca="false">SUM(I6:I17)</f>
        <v>0</v>
      </c>
      <c r="J18" s="87" t="n">
        <f aca="false">SUM(J6:J17)</f>
        <v>704.27</v>
      </c>
      <c r="K18" s="87" t="n">
        <f aca="false">SUM(K6:K17)</f>
        <v>8901.7376</v>
      </c>
      <c r="L18" s="87" t="n">
        <f aca="false">SUM(L6:L17)</f>
        <v>0</v>
      </c>
      <c r="M18" s="67" t="n">
        <f aca="false">SUM(M6:M17)</f>
        <v>3581.9</v>
      </c>
      <c r="N18" s="68" t="n">
        <f aca="false">M18/H18</f>
        <v>0.850238082804392</v>
      </c>
      <c r="O18" s="67" t="n">
        <f aca="false">SUM(O6:O17)</f>
        <v>6147.778</v>
      </c>
      <c r="P18" s="68" t="n">
        <f aca="false">O18/K18</f>
        <v>0.690626737862954</v>
      </c>
      <c r="Q18" s="99"/>
    </row>
    <row r="1048576" customFormat="false" ht="15" hidden="false" customHeight="false" outlineLevel="0" collapsed="false"/>
  </sheetData>
  <mergeCells count="13">
    <mergeCell ref="A2:A5"/>
    <mergeCell ref="B2:B5"/>
    <mergeCell ref="C2:C5"/>
    <mergeCell ref="D2:D4"/>
    <mergeCell ref="E2:E4"/>
    <mergeCell ref="F2:F5"/>
    <mergeCell ref="G2:I4"/>
    <mergeCell ref="J2:L4"/>
    <mergeCell ref="M2:P3"/>
    <mergeCell ref="Q2:Q5"/>
    <mergeCell ref="M4:N4"/>
    <mergeCell ref="O4:P4"/>
    <mergeCell ref="Q12:Q16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6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&amp;R&amp;P</oddFooter>
  </headerFooter>
  <rowBreaks count="1" manualBreakCount="1">
    <brk id="18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C3D69B"/>
    <pageSetUpPr fitToPage="true"/>
  </sheetPr>
  <dimension ref="A1:F1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1" activeCellId="0" sqref="B11"/>
    </sheetView>
  </sheetViews>
  <sheetFormatPr defaultRowHeight="15" zeroHeight="false" outlineLevelRow="0" outlineLevelCol="0"/>
  <cols>
    <col collapsed="false" customWidth="true" hidden="false" outlineLevel="0" max="1" min="1" style="101" width="6.28"/>
    <col collapsed="false" customWidth="true" hidden="false" outlineLevel="0" max="2" min="2" style="101" width="52.14"/>
    <col collapsed="false" customWidth="true" hidden="false" outlineLevel="0" max="3" min="3" style="102" width="33"/>
    <col collapsed="false" customWidth="true" hidden="false" outlineLevel="0" max="5" min="4" style="101" width="17.71"/>
    <col collapsed="false" customWidth="true" hidden="false" outlineLevel="0" max="6" min="6" style="101" width="27.58"/>
    <col collapsed="false" customWidth="true" hidden="false" outlineLevel="0" max="1025" min="7" style="101" width="9.14"/>
  </cols>
  <sheetData>
    <row r="1" s="106" customFormat="true" ht="18" hidden="false" customHeight="true" outlineLevel="0" collapsed="false">
      <c r="A1" s="103" t="s">
        <v>109</v>
      </c>
      <c r="B1" s="104" t="s">
        <v>110</v>
      </c>
      <c r="C1" s="105"/>
    </row>
    <row r="2" customFormat="false" ht="15" hidden="false" customHeight="true" outlineLevel="0" collapsed="false">
      <c r="A2" s="107" t="s">
        <v>12</v>
      </c>
      <c r="B2" s="107" t="s">
        <v>13</v>
      </c>
      <c r="C2" s="108" t="s">
        <v>111</v>
      </c>
      <c r="D2" s="109" t="s">
        <v>20</v>
      </c>
      <c r="E2" s="109"/>
      <c r="F2" s="110" t="s">
        <v>21</v>
      </c>
    </row>
    <row r="3" customFormat="false" ht="15" hidden="false" customHeight="true" outlineLevel="0" collapsed="false">
      <c r="A3" s="107"/>
      <c r="B3" s="107"/>
      <c r="C3" s="108"/>
      <c r="D3" s="109"/>
      <c r="E3" s="109"/>
      <c r="F3" s="110"/>
    </row>
    <row r="4" customFormat="false" ht="15.75" hidden="false" customHeight="false" outlineLevel="0" collapsed="false">
      <c r="A4" s="107"/>
      <c r="B4" s="107"/>
      <c r="C4" s="108"/>
      <c r="D4" s="20" t="s">
        <v>112</v>
      </c>
      <c r="E4" s="20" t="s">
        <v>28</v>
      </c>
      <c r="F4" s="110"/>
    </row>
    <row r="5" s="116" customFormat="true" ht="24" hidden="false" customHeight="true" outlineLevel="0" collapsed="false">
      <c r="A5" s="111"/>
      <c r="B5" s="112" t="s">
        <v>113</v>
      </c>
      <c r="C5" s="113" t="n">
        <f aca="false">C6</f>
        <v>16604.3167</v>
      </c>
      <c r="D5" s="114" t="n">
        <f aca="false">D6</f>
        <v>15426.25</v>
      </c>
      <c r="E5" s="115" t="n">
        <f aca="false">D5/C5</f>
        <v>0.929050576348016</v>
      </c>
      <c r="F5" s="110"/>
    </row>
    <row r="6" s="120" customFormat="true" ht="24" hidden="false" customHeight="true" outlineLevel="0" collapsed="false">
      <c r="A6" s="117" t="s">
        <v>114</v>
      </c>
      <c r="B6" s="112" t="s">
        <v>115</v>
      </c>
      <c r="C6" s="118" t="n">
        <f aca="false">SUM(C7:C11)</f>
        <v>16604.3167</v>
      </c>
      <c r="D6" s="119" t="n">
        <f aca="false">SUM(D7:D11)</f>
        <v>15426.25</v>
      </c>
      <c r="E6" s="115" t="n">
        <f aca="false">D6/C6</f>
        <v>0.929050576348016</v>
      </c>
      <c r="F6" s="110"/>
    </row>
    <row r="7" customFormat="false" ht="30" hidden="false" customHeight="false" outlineLevel="0" collapsed="false">
      <c r="A7" s="121" t="s">
        <v>30</v>
      </c>
      <c r="B7" s="122" t="s">
        <v>116</v>
      </c>
      <c r="C7" s="78" t="n">
        <f aca="false">13117.163+46.2+436.85+602-419</f>
        <v>13783.213</v>
      </c>
      <c r="D7" s="27" t="n">
        <f aca="false">431.13+1060.41+1976.68+2793.72+1621.81+1076.76+595.35+795.12+787.83+1504.1</f>
        <v>12642.91</v>
      </c>
      <c r="E7" s="123" t="n">
        <f aca="false">D7/C7</f>
        <v>0.917268709407596</v>
      </c>
      <c r="F7" s="124" t="s">
        <v>87</v>
      </c>
    </row>
    <row r="8" customFormat="false" ht="60" hidden="false" customHeight="true" outlineLevel="0" collapsed="false">
      <c r="A8" s="121" t="s">
        <v>36</v>
      </c>
      <c r="B8" s="122" t="s">
        <v>117</v>
      </c>
      <c r="C8" s="78" t="n">
        <f aca="false">1826.7437+7.35-97.86</f>
        <v>1736.2337</v>
      </c>
      <c r="D8" s="27" t="n">
        <f aca="false">38.36+75.32+93.71+118.89+460.4+529.08+6.53+438.02</f>
        <v>1760.31</v>
      </c>
      <c r="E8" s="123" t="n">
        <f aca="false">D8/C8</f>
        <v>1.01386696963663</v>
      </c>
      <c r="F8" s="124" t="s">
        <v>118</v>
      </c>
    </row>
    <row r="9" customFormat="false" ht="60" hidden="false" customHeight="false" outlineLevel="0" collapsed="false">
      <c r="A9" s="121" t="s">
        <v>43</v>
      </c>
      <c r="B9" s="122" t="s">
        <v>119</v>
      </c>
      <c r="C9" s="78" t="n">
        <v>957.31</v>
      </c>
      <c r="D9" s="27" t="n">
        <v>957.31</v>
      </c>
      <c r="E9" s="123" t="n">
        <f aca="false">D9/C9</f>
        <v>1</v>
      </c>
      <c r="F9" s="124" t="s">
        <v>120</v>
      </c>
    </row>
    <row r="10" customFormat="false" ht="45" hidden="false" customHeight="false" outlineLevel="0" collapsed="false">
      <c r="A10" s="121" t="s">
        <v>47</v>
      </c>
      <c r="B10" s="122" t="s">
        <v>121</v>
      </c>
      <c r="C10" s="78" t="n">
        <v>60.72</v>
      </c>
      <c r="D10" s="27" t="n">
        <f aca="false">20.24+40.48</f>
        <v>60.72</v>
      </c>
      <c r="E10" s="123" t="n">
        <f aca="false">D10/C10</f>
        <v>1</v>
      </c>
      <c r="F10" s="124" t="s">
        <v>120</v>
      </c>
    </row>
    <row r="11" s="126" customFormat="true" ht="45" hidden="false" customHeight="false" outlineLevel="0" collapsed="false">
      <c r="A11" s="121" t="s">
        <v>52</v>
      </c>
      <c r="B11" s="125" t="s">
        <v>122</v>
      </c>
      <c r="C11" s="78" t="n">
        <f aca="false">61.84+5</f>
        <v>66.84</v>
      </c>
      <c r="D11" s="27" t="n">
        <v>5</v>
      </c>
      <c r="E11" s="123" t="n">
        <f aca="false">D11/C11</f>
        <v>0.0748055056852184</v>
      </c>
      <c r="F11" s="124" t="s">
        <v>87</v>
      </c>
    </row>
  </sheetData>
  <mergeCells count="5">
    <mergeCell ref="A2:A4"/>
    <mergeCell ref="B2:B4"/>
    <mergeCell ref="C2:C4"/>
    <mergeCell ref="D2:E3"/>
    <mergeCell ref="F2:F6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7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C3D69B"/>
    <pageSetUpPr fitToPage="true"/>
  </sheetPr>
  <dimension ref="A1:K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0" zoomScalePageLayoutView="85" workbookViewId="0">
      <selection pane="topLeft" activeCell="J13" activeCellId="0" sqref="J13"/>
    </sheetView>
  </sheetViews>
  <sheetFormatPr defaultRowHeight="18.75" zeroHeight="false" outlineLevelRow="0" outlineLevelCol="0"/>
  <cols>
    <col collapsed="false" customWidth="true" hidden="false" outlineLevel="0" max="1" min="1" style="10" width="4.57"/>
    <col collapsed="false" customWidth="true" hidden="false" outlineLevel="0" max="2" min="2" style="11" width="46.14"/>
    <col collapsed="false" customWidth="true" hidden="false" outlineLevel="0" max="3" min="3" style="10" width="13.7"/>
    <col collapsed="false" customWidth="true" hidden="false" outlineLevel="0" max="4" min="4" style="13" width="11.71"/>
    <col collapsed="false" customWidth="true" hidden="false" outlineLevel="0" max="5" min="5" style="13" width="12.86"/>
    <col collapsed="false" customWidth="true" hidden="true" outlineLevel="0" max="6" min="6" style="13" width="16.14"/>
    <col collapsed="false" customWidth="true" hidden="false" outlineLevel="0" max="8" min="7" style="10" width="14.7"/>
    <col collapsed="false" customWidth="true" hidden="false" outlineLevel="0" max="9" min="9" style="127" width="14.7"/>
    <col collapsed="false" customWidth="true" hidden="false" outlineLevel="0" max="10" min="10" style="10" width="14.7"/>
    <col collapsed="false" customWidth="true" hidden="false" outlineLevel="0" max="11" min="11" style="10" width="24.15"/>
    <col collapsed="false" customWidth="true" hidden="false" outlineLevel="0" max="1025" min="12" style="10" width="8.86"/>
  </cols>
  <sheetData>
    <row r="1" s="14" customFormat="true" ht="18" hidden="false" customHeight="true" outlineLevel="0" collapsed="false">
      <c r="A1" s="14" t="s">
        <v>123</v>
      </c>
      <c r="B1" s="72"/>
      <c r="C1" s="128"/>
      <c r="E1" s="13"/>
      <c r="F1" s="13"/>
      <c r="I1" s="129"/>
    </row>
    <row r="2" customFormat="false" ht="23.25" hidden="false" customHeight="true" outlineLevel="0" collapsed="false">
      <c r="A2" s="95" t="s">
        <v>12</v>
      </c>
      <c r="B2" s="18" t="s">
        <v>13</v>
      </c>
      <c r="C2" s="19" t="s">
        <v>19</v>
      </c>
      <c r="D2" s="19"/>
      <c r="E2" s="19"/>
      <c r="F2" s="19" t="s">
        <v>124</v>
      </c>
      <c r="G2" s="130" t="s">
        <v>20</v>
      </c>
      <c r="H2" s="130"/>
      <c r="I2" s="130"/>
      <c r="J2" s="130"/>
      <c r="K2" s="131" t="s">
        <v>21</v>
      </c>
    </row>
    <row r="3" customFormat="false" ht="18" hidden="false" customHeight="true" outlineLevel="0" collapsed="false">
      <c r="A3" s="95"/>
      <c r="B3" s="18"/>
      <c r="C3" s="19"/>
      <c r="D3" s="19"/>
      <c r="E3" s="19"/>
      <c r="F3" s="19"/>
      <c r="G3" s="130"/>
      <c r="H3" s="130"/>
      <c r="I3" s="130"/>
      <c r="J3" s="130"/>
      <c r="K3" s="131"/>
    </row>
    <row r="4" customFormat="false" ht="21.75" hidden="false" customHeight="true" outlineLevel="0" collapsed="false">
      <c r="A4" s="95"/>
      <c r="B4" s="18"/>
      <c r="C4" s="19"/>
      <c r="D4" s="19"/>
      <c r="E4" s="19"/>
      <c r="F4" s="19"/>
      <c r="G4" s="130" t="s">
        <v>22</v>
      </c>
      <c r="H4" s="130"/>
      <c r="I4" s="132" t="s">
        <v>23</v>
      </c>
      <c r="J4" s="132"/>
      <c r="K4" s="131"/>
    </row>
    <row r="5" customFormat="false" ht="51" hidden="false" customHeight="true" outlineLevel="0" collapsed="false">
      <c r="A5" s="95"/>
      <c r="B5" s="18"/>
      <c r="C5" s="25" t="s">
        <v>27</v>
      </c>
      <c r="D5" s="133" t="n">
        <v>2024</v>
      </c>
      <c r="E5" s="26" t="n">
        <v>2025</v>
      </c>
      <c r="F5" s="19"/>
      <c r="G5" s="132" t="s">
        <v>4</v>
      </c>
      <c r="H5" s="132" t="s">
        <v>28</v>
      </c>
      <c r="I5" s="134" t="s">
        <v>29</v>
      </c>
      <c r="J5" s="132" t="s">
        <v>28</v>
      </c>
      <c r="K5" s="131"/>
    </row>
    <row r="6" s="70" customFormat="true" ht="51.75" hidden="false" customHeight="false" outlineLevel="0" collapsed="false">
      <c r="A6" s="94" t="s">
        <v>125</v>
      </c>
      <c r="B6" s="135" t="s">
        <v>126</v>
      </c>
      <c r="C6" s="136"/>
      <c r="D6" s="37" t="n">
        <v>1637.62</v>
      </c>
      <c r="E6" s="137"/>
      <c r="F6" s="138" t="s">
        <v>127</v>
      </c>
      <c r="G6" s="139"/>
      <c r="H6" s="140"/>
      <c r="I6" s="141" t="n">
        <f aca="false">645.58+1.06</f>
        <v>646.64</v>
      </c>
      <c r="J6" s="142" t="n">
        <f aca="false">I6/D6</f>
        <v>0.394865719764048</v>
      </c>
      <c r="K6" s="40" t="s">
        <v>128</v>
      </c>
    </row>
  </sheetData>
  <mergeCells count="8">
    <mergeCell ref="A2:A5"/>
    <mergeCell ref="B2:B5"/>
    <mergeCell ref="C2:E4"/>
    <mergeCell ref="F2:F5"/>
    <mergeCell ref="G2:J3"/>
    <mergeCell ref="K2:K5"/>
    <mergeCell ref="G4:H4"/>
    <mergeCell ref="I4:J4"/>
  </mergeCells>
  <printOptions headings="false" gridLines="false" gridLinesSet="true" horizontalCentered="true" verticalCentered="false"/>
  <pageMargins left="0.236111111111111" right="0.236111111111111" top="0.354166666666667" bottom="0.354861111111111" header="0.511805555555555" footer="0.315277777777778"/>
  <pageSetup paperSize="9" scale="100" firstPageNumber="9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pl-PL</dc:language>
  <cp:lastModifiedBy/>
  <dcterms:modified xsi:type="dcterms:W3CDTF">2024-11-28T07:43:23Z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